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CT\Private\CT-Trackers\"/>
    </mc:Choice>
  </mc:AlternateContent>
  <xr:revisionPtr revIDLastSave="0" documentId="13_ncr:1_{21DCB072-0BC5-4D0F-8695-BFC6AC84A9E8}" xr6:coauthVersionLast="47" xr6:coauthVersionMax="47" xr10:uidLastSave="{00000000-0000-0000-0000-000000000000}"/>
  <bookViews>
    <workbookView xWindow="-28920" yWindow="-90" windowWidth="29040" windowHeight="1749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Sheet1!$A$1:$M$42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31" i="1"/>
  <c r="L28" i="1" l="1"/>
  <c r="L21" i="1"/>
  <c r="M21" i="1"/>
  <c r="L25" i="1" l="1"/>
  <c r="L24" i="1" l="1"/>
  <c r="L20" i="1" l="1"/>
  <c r="L29" i="1" l="1"/>
  <c r="L27" i="1" l="1"/>
  <c r="L26" i="1" l="1"/>
  <c r="L23" i="1" a="1"/>
  <c r="L23" i="1" s="1"/>
  <c r="L5" i="1" l="1"/>
  <c r="L22" i="1" l="1"/>
  <c r="L10" i="1"/>
  <c r="L6" i="1" l="1"/>
  <c r="L7" i="1"/>
  <c r="L9" i="1" l="1"/>
  <c r="L11" i="1" l="1"/>
  <c r="L12" i="1"/>
  <c r="L13" i="1"/>
  <c r="L14" i="1" l="1"/>
  <c r="L15" i="1" l="1"/>
  <c r="L16" i="1"/>
  <c r="L17" i="1"/>
  <c r="L18" i="1"/>
  <c r="L19" i="1"/>
  <c r="K34" i="1" l="1"/>
  <c r="L3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<sst xmlns="http://schemas.openxmlformats.org/spreadsheetml/2006/main" count="165" uniqueCount="116">
  <si>
    <t xml:space="preserve">FY20 SRM 2.0 </t>
  </si>
  <si>
    <t>TOTAL</t>
  </si>
  <si>
    <t xml:space="preserve">IDIQ Contract Capacity Summary </t>
  </si>
  <si>
    <t>Contract #</t>
  </si>
  <si>
    <t>Award Date</t>
  </si>
  <si>
    <t>Contract Expires</t>
  </si>
  <si>
    <t>Initial Capacity</t>
  </si>
  <si>
    <t>20-D-0006/0007/0008/0009/0010</t>
  </si>
  <si>
    <t>Total Remaining Capacity</t>
  </si>
  <si>
    <t>Services</t>
  </si>
  <si>
    <t>Company/Tool</t>
  </si>
  <si>
    <t>ID-AE for Mechanical &amp; Electrical Svc</t>
  </si>
  <si>
    <t>ERS SB</t>
  </si>
  <si>
    <t xml:space="preserve">Pending IDIQ Actions  </t>
  </si>
  <si>
    <t>ID-AE for Value Engineering and Charrette Facilitation</t>
  </si>
  <si>
    <t>21-D-0007</t>
  </si>
  <si>
    <t>21-D-0008</t>
  </si>
  <si>
    <t>SRM Construction MATOC</t>
  </si>
  <si>
    <t>VALUE MANAGEMENT STRATEGIES, INC. (VMS)</t>
  </si>
  <si>
    <t>STRATEGIC VALUE SOLUTIONS, INC. (SVS)</t>
  </si>
  <si>
    <t xml:space="preserve">IDIQ MATOC for Maintenance, Renovation &amp; Alteration of POL Related Structures (Construction) </t>
  </si>
  <si>
    <t>TDX Quality, LLC</t>
  </si>
  <si>
    <t>20-D-0015</t>
  </si>
  <si>
    <t>20-D-0017</t>
  </si>
  <si>
    <t>20-D-0022</t>
  </si>
  <si>
    <t>SRM IDIQ SATOC</t>
  </si>
  <si>
    <t>STG PACIFIC, LLC</t>
  </si>
  <si>
    <t>NESSER-PAUGVIK JV</t>
  </si>
  <si>
    <t>EAGLE EYE ELECTRIC, LLC</t>
  </si>
  <si>
    <t>Environmental Remediation Svc</t>
  </si>
  <si>
    <t>Total Remaining Capacity Automatically updated</t>
  </si>
  <si>
    <t>ID-AE Survey MATOC</t>
  </si>
  <si>
    <t xml:space="preserve"> </t>
  </si>
  <si>
    <t>Options remaining</t>
  </si>
  <si>
    <t>Current expiration date</t>
  </si>
  <si>
    <t>No</t>
  </si>
  <si>
    <t>MCG, PDC-BV JV, KPB Coffman JV</t>
  </si>
  <si>
    <t>ID-AE Multidiscipline Design Services - Unrestricted MATOC Pool</t>
  </si>
  <si>
    <t>Total Remaining Capacity via PD2/PCF</t>
  </si>
  <si>
    <t>Small Projects SATOC for Maintenance &amp; Repair</t>
  </si>
  <si>
    <t>Yes-2</t>
  </si>
  <si>
    <t>ERS Unrestricted</t>
  </si>
  <si>
    <t>Dowl, R&amp;M, CRW</t>
  </si>
  <si>
    <t>6 mo</t>
  </si>
  <si>
    <t>Eklutna Construction &amp; Maintenance, LLC</t>
  </si>
  <si>
    <t>No (5 yr base)</t>
  </si>
  <si>
    <t>AECOM, AGN JV, Bethel, Brice, Jacobs</t>
  </si>
  <si>
    <t>Tetra Tech, AECOM, STANTEC</t>
  </si>
  <si>
    <t xml:space="preserve">AE Civil Works </t>
  </si>
  <si>
    <t>Yes</t>
  </si>
  <si>
    <t>21-D-0009-0011</t>
  </si>
  <si>
    <t>22-D-0002-0004</t>
  </si>
  <si>
    <t>22-D-0005-0007</t>
  </si>
  <si>
    <t>22-D-0016-0020</t>
  </si>
  <si>
    <t>22-D-0021</t>
  </si>
  <si>
    <t>ID-AE Hazardous, Toxic and Radioactive Waste (HTRW) MATOC</t>
  </si>
  <si>
    <t>ID-AE Hydrographic Survey SATOC</t>
  </si>
  <si>
    <t>BARROWCOASTAL EROSION REDUCTION</t>
  </si>
  <si>
    <t>CRW Engineering, Design Alaska, HZA Engineering</t>
  </si>
  <si>
    <t>23-D-0009 - 0011</t>
  </si>
  <si>
    <t>Annual SF330 updates (AE ONLY)</t>
  </si>
  <si>
    <t>23-D-0022-0024</t>
  </si>
  <si>
    <t>Eklutna, North Wind, Red Point</t>
  </si>
  <si>
    <t>23D0001-0008</t>
  </si>
  <si>
    <t>AECOM, Ahtna Arcadis JV, Geosyntec Brice JV, Jacobs, Ahtna, Bethel, Brice, ECC</t>
  </si>
  <si>
    <t>6 Mo</t>
  </si>
  <si>
    <t>23D0032</t>
  </si>
  <si>
    <t>24R0011</t>
  </si>
  <si>
    <t>eTrac Inc.</t>
  </si>
  <si>
    <t>23D0020</t>
  </si>
  <si>
    <t>Small</t>
  </si>
  <si>
    <t>Large</t>
  </si>
  <si>
    <t>N/A-Unrestricted acquisition</t>
  </si>
  <si>
    <t>AE POL MATOC</t>
  </si>
  <si>
    <t>ID-AE Geotechnical Design &amp; Related Services MATOC</t>
  </si>
  <si>
    <t>R&amp;M Consultants, Shannon &amp; Wilson, WSP USA Solutions</t>
  </si>
  <si>
    <t>24D0008-0010</t>
  </si>
  <si>
    <t>24R0033</t>
  </si>
  <si>
    <t>Environmental Support Services MATOC</t>
  </si>
  <si>
    <t>24D0019-0020</t>
  </si>
  <si>
    <t>GeoTek Alaska/Onyx Drilling</t>
  </si>
  <si>
    <t>Geotechnical Drilling Services Indefinite Delivery (ID) Multiple Award Task Order Contract (MATOC)</t>
  </si>
  <si>
    <t>23D0030</t>
  </si>
  <si>
    <t>Paragon Professional Services LLC</t>
  </si>
  <si>
    <t>Non-Emergency Spill Response and Construction Support US Army Garrison – Alaska (USAG-AK), Various Locations</t>
  </si>
  <si>
    <r>
      <t>20-D-0001-0005/0012-0014</t>
    </r>
    <r>
      <rPr>
        <sz val="11"/>
        <rFont val="Calibri"/>
        <family val="2"/>
      </rPr>
      <t>/0016</t>
    </r>
  </si>
  <si>
    <t>24D0001-0007</t>
  </si>
  <si>
    <t>2-yr Opt (5-yr base)</t>
  </si>
  <si>
    <t>Design AK (SB), McCool Carlson Green (SB), KPB (SB), KPB RIM Coffman (LB), Michael Baker/Design AK (LB), HDR (LB), Black &amp; Veatch/RESPEC (LB)</t>
  </si>
  <si>
    <t>23-D-0012</t>
  </si>
  <si>
    <t xml:space="preserve">Accura Engineering </t>
  </si>
  <si>
    <t>24D0012</t>
  </si>
  <si>
    <t>Brice Civil Contractors, Inc</t>
  </si>
  <si>
    <t>LRDR Campus HEMP</t>
  </si>
  <si>
    <t>QA Support Services - Construction-Construction Phase Services</t>
  </si>
  <si>
    <t>Additional option amount to exericse</t>
  </si>
  <si>
    <t>3rd Qtr FY25</t>
  </si>
  <si>
    <t>ERS MATOC</t>
  </si>
  <si>
    <t>Environmental Support Services</t>
  </si>
  <si>
    <t>25D0001-0004</t>
  </si>
  <si>
    <t>Aleut, Brice, ECC, NorthWind</t>
  </si>
  <si>
    <t>EEI/Coffman JV, Pond &amp; Company, Enterprise Engineering Inc.</t>
  </si>
  <si>
    <t>25DA0001</t>
  </si>
  <si>
    <t>Reliance Construction Management</t>
  </si>
  <si>
    <t>VE Charrette Facilitator</t>
  </si>
  <si>
    <t>?</t>
  </si>
  <si>
    <t>25D0024-0026</t>
  </si>
  <si>
    <t>ID-AE Design MATOC for Civil Works</t>
  </si>
  <si>
    <t>4th Qtr FY26</t>
  </si>
  <si>
    <t>April 2024</t>
  </si>
  <si>
    <t>Approx 5 June 2025</t>
  </si>
  <si>
    <t>Limitations on subcontracting A-E contracts-SB setaside or reserve only--ONLY SBS</t>
  </si>
  <si>
    <t>SB Reserve</t>
  </si>
  <si>
    <t>25D0012-0017</t>
  </si>
  <si>
    <t>Environmental Remediation Services MATOC</t>
  </si>
  <si>
    <t>Ahtna (SB), Brice (SB), Bristol (SB), ECC (SB), Paragon (SB), Rescon-BEM (SB)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</si>
</sst>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left" wrapText="1"/>
    </xf>
    <xf numFmtId="0" fontId="1" fillId="2" borderId="0" xfId="0" applyFont="1" applyFill="1"/>
    <xf numFmtId="0" fontId="0" fillId="2" borderId="1" xfId="0" applyFill="1" applyBorder="1"/>
    <xf numFmtId="0" fontId="3" fillId="2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5" fontId="0" fillId="2" borderId="0" xfId="0" applyNumberFormat="1" applyFill="1" applyBorder="1" applyAlignment="1">
      <alignment horizontal="center"/>
    </xf>
    <xf numFmtId="8" fontId="0" fillId="2" borderId="0" xfId="0" applyNumberFormat="1" applyFill="1" applyBorder="1" applyAlignment="1">
      <alignment horizontal="center"/>
    </xf>
    <xf numFmtId="0" fontId="0" fillId="0" borderId="1" xfId="0" applyBorder="1"/>
    <xf numFmtId="8" fontId="5" fillId="0" borderId="1" xfId="1" applyNumberFormat="1" applyFont="1" applyBorder="1"/>
    <xf numFmtId="0" fontId="5" fillId="0" borderId="0" xfId="0" applyFont="1" applyAlignment="1">
      <alignment horizontal="center"/>
    </xf>
    <xf numFmtId="8" fontId="0" fillId="0" borderId="1" xfId="1" applyNumberFormat="1" applyFont="1" applyFill="1" applyBorder="1"/>
    <xf numFmtId="44" fontId="0" fillId="0" borderId="1" xfId="1" applyNumberFormat="1" applyFont="1" applyFill="1" applyBorder="1"/>
    <xf numFmtId="0" fontId="8" fillId="2" borderId="1" xfId="0" applyFont="1" applyFill="1" applyBorder="1" applyAlignment="1">
      <alignment wrapText="1"/>
    </xf>
    <xf numFmtId="0" fontId="0" fillId="5" borderId="1" xfId="0" applyFill="1" applyBorder="1"/>
    <xf numFmtId="44" fontId="0" fillId="2" borderId="1" xfId="1" applyFont="1" applyFill="1" applyBorder="1" applyAlignment="1">
      <alignment horizontal="center"/>
    </xf>
    <xf numFmtId="0" fontId="0" fillId="0" borderId="1" xfId="0" applyFill="1" applyBorder="1"/>
    <xf numFmtId="15" fontId="9" fillId="0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15" fontId="8" fillId="2" borderId="1" xfId="0" applyNumberFormat="1" applyFont="1" applyFill="1" applyBorder="1" applyAlignment="1">
      <alignment horizontal="center"/>
    </xf>
    <xf numFmtId="15" fontId="8" fillId="0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15" fontId="10" fillId="0" borderId="1" xfId="0" applyNumberFormat="1" applyFont="1" applyFill="1" applyBorder="1" applyAlignment="1">
      <alignment horizontal="center"/>
    </xf>
    <xf numFmtId="15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15" fontId="8" fillId="4" borderId="1" xfId="0" applyNumberFormat="1" applyFont="1" applyFill="1" applyBorder="1" applyAlignment="1">
      <alignment horizontal="center"/>
    </xf>
    <xf numFmtId="0" fontId="8" fillId="2" borderId="2" xfId="0" applyFont="1" applyFill="1" applyBorder="1"/>
    <xf numFmtId="15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5" fontId="10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5" fontId="0" fillId="2" borderId="1" xfId="0" applyNumberFormat="1" applyFont="1" applyFill="1" applyBorder="1" applyAlignment="1">
      <alignment horizontal="center"/>
    </xf>
    <xf numFmtId="15" fontId="0" fillId="4" borderId="1" xfId="0" applyNumberFormat="1" applyFont="1" applyFill="1" applyBorder="1" applyAlignment="1">
      <alignment horizontal="center"/>
    </xf>
    <xf numFmtId="6" fontId="0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4" fontId="0" fillId="0" borderId="1" xfId="0" applyNumberFormat="1" applyFont="1" applyBorder="1"/>
    <xf numFmtId="0" fontId="8" fillId="0" borderId="1" xfId="0" applyFont="1" applyFill="1" applyBorder="1" applyAlignment="1">
      <alignment horizontal="left"/>
    </xf>
    <xf numFmtId="15" fontId="0" fillId="2" borderId="1" xfId="0" applyNumberFormat="1" applyFont="1" applyFill="1" applyBorder="1" applyAlignment="1">
      <alignment horizontal="right"/>
    </xf>
    <xf numFmtId="15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6" fontId="0" fillId="0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/>
    <xf numFmtId="0" fontId="9" fillId="2" borderId="2" xfId="0" applyFont="1" applyFill="1" applyBorder="1" applyAlignment="1">
      <alignment wrapText="1"/>
    </xf>
    <xf numFmtId="0" fontId="11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8" fillId="6" borderId="1" xfId="0" applyFont="1" applyFill="1" applyBorder="1"/>
    <xf numFmtId="15" fontId="8" fillId="6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center"/>
    </xf>
    <xf numFmtId="44" fontId="0" fillId="0" borderId="1" xfId="0" applyNumberFormat="1" applyFill="1" applyBorder="1"/>
    <xf numFmtId="15" fontId="8" fillId="3" borderId="1" xfId="0" applyNumberFormat="1" applyFont="1" applyFill="1" applyBorder="1" applyAlignment="1">
      <alignment horizontal="center"/>
    </xf>
    <xf numFmtId="44" fontId="0" fillId="2" borderId="0" xfId="1" applyFont="1" applyFill="1" applyAlignment="1">
      <alignment horizontal="center"/>
    </xf>
    <xf numFmtId="0" fontId="0" fillId="0" borderId="0" xfId="0" applyFill="1" applyBorder="1"/>
    <xf numFmtId="0" fontId="4" fillId="2" borderId="1" xfId="0" applyFont="1" applyFill="1" applyBorder="1" applyAlignment="1">
      <alignment wrapText="1"/>
    </xf>
    <xf numFmtId="44" fontId="0" fillId="2" borderId="1" xfId="0" applyNumberFormat="1" applyFont="1" applyFill="1" applyBorder="1"/>
    <xf numFmtId="15" fontId="10" fillId="3" borderId="1" xfId="0" applyNumberFormat="1" applyFont="1" applyFill="1" applyBorder="1" applyAlignment="1">
      <alignment horizontal="center"/>
    </xf>
    <xf numFmtId="44" fontId="7" fillId="3" borderId="1" xfId="1" applyNumberFormat="1" applyFont="1" applyFill="1" applyBorder="1"/>
    <xf numFmtId="0" fontId="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4" fontId="6" fillId="0" borderId="0" xfId="1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4" fontId="6" fillId="4" borderId="0" xfId="1" applyFont="1" applyFill="1" applyAlignment="1">
      <alignment horizontal="center"/>
    </xf>
    <xf numFmtId="44" fontId="0" fillId="2" borderId="1" xfId="0" applyNumberFormat="1" applyFill="1" applyBorder="1"/>
    <xf numFmtId="0" fontId="0" fillId="0" borderId="5" xfId="0" applyFill="1" applyBorder="1"/>
    <xf numFmtId="44" fontId="0" fillId="2" borderId="1" xfId="1" applyNumberFormat="1" applyFont="1" applyFill="1" applyBorder="1" applyAlignment="1">
      <alignment horizontal="center"/>
    </xf>
    <xf numFmtId="49" fontId="8" fillId="8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6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eetMetadata" Target="metadata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1847520</xdr:colOff>
      <xdr:row>11</xdr:row>
      <xdr:rowOff>304395</xdr:rowOff>
    </xdr:from>
    <xdr:to>
      <xdr:col>11</xdr:col>
      <xdr:colOff>72390</xdr:colOff>
      <xdr:row>11</xdr:row>
      <xdr:rowOff>304755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69F3491-3D23-4675-85E4-2FD0C130DD34}"/>
                </a:ext>
              </a:extLst>
            </xdr14:cNvPr>
            <xdr14:cNvContentPartPr/>
          </xdr14:nvContentPartPr>
          <xdr14:nvPr macro=""/>
          <xdr14:xfrm>
            <a:off x="13048920" y="846732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C69F3491-3D23-4675-85E4-2FD0C130DD3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040280" y="8458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0\FY20%20D\20D0001-0005_0012-0014_0016%20ERS%20SB%20MATOC.xlsx" TargetMode="External"/><Relationship Id="rId1" Type="http://schemas.openxmlformats.org/officeDocument/2006/relationships/externalLinkPath" Target="file:///\\poa-netapp1.poa.ds.usace.army.mil\poa\CT\Public\CT\Mod%20Cards\FY20\FY20%20D\20D0001-0005_0012-0014_0016%20ERS%20SB%20MAT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0\FY20%20D\20D0006-0010%20SRM%202.0%20MATO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0\FY20%20D\20D0015%20SRM%20SATOC%20STG.xlsx" TargetMode="External"/><Relationship Id="rId1" Type="http://schemas.openxmlformats.org/officeDocument/2006/relationships/externalLinkPath" Target="file:///\\poa-netapp1.poa.ds.usace.army.mil\poa\CT\Public\CT\Mod%20Cards\FY20\FY20%20D\20D0015%20SRM%20SATOC%20ST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0\FY20%20D\20D0017%20SRM%20SATOC%20NeeserPaugvikJV.xlsx" TargetMode="External"/><Relationship Id="rId1" Type="http://schemas.openxmlformats.org/officeDocument/2006/relationships/externalLinkPath" Target="file:///\\poa-netapp1.poa.ds.usace.army.mil\poa\CT\Public\CT\Mod%20Cards\FY20\FY20%20D\20D0017%20SRM%20SATOC%20NeeserPaugvikJ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0\FY20%20D\20D0022%20SRM%20SATOC%20EagleEye.xlsx" TargetMode="External"/><Relationship Id="rId1" Type="http://schemas.openxmlformats.org/officeDocument/2006/relationships/externalLinkPath" Target="file:///\\poa-netapp1.poa.ds.usace.army.mil\poa\CT\Public\CT\Mod%20Cards\FY20\FY20%20D\20D0022%20SRM%20SATOC%20EagleEy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1\FY21%20D%20Contracts\21D0003-0005%20MultiAE%20SB%20MATOC.xlsx" TargetMode="External"/><Relationship Id="rId1" Type="http://schemas.openxmlformats.org/officeDocument/2006/relationships/externalLinkPath" Target="/CT/Public/CT/Mod%20Cards/FY21/FY21%20D%20Contracts/21D0003-0005%20MultiAE%20SB%20MATO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1\FY21%20D%20Contracts\21D0007%20SATOC_VMS%20IDA-E%20VE%20&amp;%20Charrette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1\FY21%20D%20Contracts\21D0008%20SATOC_SVS%20IDA-E%20VE%20&amp;%20Charrette.xlsx" TargetMode="External"/><Relationship Id="rId1" Type="http://schemas.openxmlformats.org/officeDocument/2006/relationships/externalLinkPath" Target="/CT/Public/CT/Mod%20Cards/FY21/FY21%20D%20Contracts/21D0008%20SATOC_SVS%20IDA-E%20VE%20&amp;%20Charrett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1\FY21%20D%20Contracts\21D0009-0011%20MultiAE%20LB%20MATOC.xlsx" TargetMode="External"/><Relationship Id="rId1" Type="http://schemas.openxmlformats.org/officeDocument/2006/relationships/externalLinkPath" Target="/CT/Public/CT/Mod%20Cards/FY21/FY21%20D%20Contracts/21D0009-0011%20MultiAE%20LB%20MATOC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2\FY%2022%20D%20Contracts\22D0002-0004%20CW%20AE%20MATOC.xlsx" TargetMode="External"/><Relationship Id="rId1" Type="http://schemas.openxmlformats.org/officeDocument/2006/relationships/externalLinkPath" Target="file:///\\poa-netapp1.poa.ds.usace.army.mil\poa\CT\Public\CT\Mod%20Cards\FY22\FY%2022%20D%20Contracts\22D0002-0004%20CW%20AE%20MATO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2\FY%2022%20D%20Contracts\22D0005-0007%20Survey%20IDIQ%20MATOC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2\FY%2022%20D%20Contracts\22D0016-0020%20ERS%20Unrestricted%20MATOC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2\FY%2022%20D%20Contracts\22D0021%20SATOC_Small%20Projec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a-netapp1.poa.ds.usace.army.mil\poa\CT\Public\CT\Mod%20Cards\FY23\FY23%20D%20Contracts\23D0001-0008%20HTRW%20AE%20MATOC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3\FY23%20D%20Contracts\23D0009-0011%20Mechanical-Electrical%20MATOC.xlsx" TargetMode="External"/><Relationship Id="rId1" Type="http://schemas.openxmlformats.org/officeDocument/2006/relationships/externalLinkPath" Target="file:///\\poa-netapp1.poa.ds.usace.army.mil\poa\CT\Public\CT\Mod%20Cards\FY23\FY23%20D%20Contracts\23D0009-0011%20Mechanical-Electrical%20MATOC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T\Public\CT\Mod%20Cards\FY23\FY23%20D%20Contracts\23D0012%20Const%20Phase%20Suprt%20QA-CM%20SATOC%2010-Apr-2023.xlsx" TargetMode="External"/><Relationship Id="rId1" Type="http://schemas.openxmlformats.org/officeDocument/2006/relationships/externalLinkPath" Target="/CT/Public/CT/Mod%20Cards/FY23/FY23%20D%20Contracts/23D0012%20Const%20Phase%20Suprt%20QA-CM%20SATOC%2010-Apr-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3\FY23%20D%20Contracts\23D0020%20Hydrographic%20Survey%20SATOC.xlsx" TargetMode="External"/><Relationship Id="rId1" Type="http://schemas.openxmlformats.org/officeDocument/2006/relationships/externalLinkPath" Target="/CT/Public/CT/Mod%20Cards/FY23/FY23%20D%20Contracts/23D0020%20Hydrographic%20Survey%20SATO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T/Public/CT/Mod%20Cards/FY23/FY23%20D%20Contracts/23D0022-0024%20POL%20MATOC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T\Public\CT\Mod%20Cards\FY23\FY23%20D%20Contracts\23D0030%20Non-Emergency%20Spill%20Repsonse%20SATOC.xlsx" TargetMode="External"/><Relationship Id="rId1" Type="http://schemas.openxmlformats.org/officeDocument/2006/relationships/externalLinkPath" Target="/CT/Public/CT/Mod%20Cards/FY23/FY23%20D%20Contracts/23D0030%20Non-Emergency%20Spill%20Repsonse%20SATOC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T\Public\CT\Mod%20Cards\FY23\FY23%20D%20Contracts\23D0032%20TDX%20SATOC.xlsx" TargetMode="External"/><Relationship Id="rId1" Type="http://schemas.openxmlformats.org/officeDocument/2006/relationships/externalLinkPath" Target="/CT/Public/CT/Mod%20Cards/FY23/FY23%20D%20Contracts/23D0032%20TDX%20SATOC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4\FY24%20D%20CONTRACTS\24D0008%20-%2024D0010%20Geotech%20AE%20MATOC.xlsx" TargetMode="External"/><Relationship Id="rId1" Type="http://schemas.openxmlformats.org/officeDocument/2006/relationships/externalLinkPath" Target="/CT/Public/CT/Mod%20Cards/FY24/FY24%20D%20CONTRACTS/24D0008%20-%2024D0010%20Geotech%20AE%20MATOC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T/Public/CT/Mod%20Cards/FY24/FY24%20D%20CONTRACTS/24D0019-20D0020%20Geo%20Drilling%20Services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T\Public\CT\Mod%20Cards\FY24\FY24%20D%20CONTRACTS\24D0001-0007%20AE%20Multidiscipline%20MATOC.xlsx" TargetMode="External"/><Relationship Id="rId1" Type="http://schemas.openxmlformats.org/officeDocument/2006/relationships/externalLinkPath" Target="/CT/Public/CT/Mod%20Cards/FY24/FY24%20D%20CONTRACTS/24D0001-0007%20AE%20Multidiscipline%20MATOC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5\FY25%20D%20Contracts\25D0001-0004%20ESS%20MATOC.xlsx" TargetMode="External"/><Relationship Id="rId1" Type="http://schemas.openxmlformats.org/officeDocument/2006/relationships/externalLinkPath" Target="/CT/Public/CT/Mod%20Cards/FY25/FY25%20D%20Contracts/25D0001-0004%20ESS%20MATOC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4\FY24%20D%20CONTRACTS\24D0012%20Barrow%20Coastal%20Erosion.xlsx" TargetMode="External"/><Relationship Id="rId1" Type="http://schemas.openxmlformats.org/officeDocument/2006/relationships/externalLinkPath" Target="/CT/Public/CT/Mod%20Cards/FY24/FY24%20D%20CONTRACTS/24D0012%20Barrow%20Coastal%20Ero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a-netapp1.poa.ds.usace.army.mil\poa\CT\Public\CT\Mod%20Cards\FY25\FY25%20D%20Contracts\25DA001%20LRDR%20HMHS%20Campus%20SATOC.xlsx" TargetMode="External"/><Relationship Id="rId1" Type="http://schemas.openxmlformats.org/officeDocument/2006/relationships/externalLinkPath" Target="/CT/Public/CT/Mod%20Cards/FY25/FY25%20D%20Contracts/25DA001%20LRDR%20HMHS%20Campus%20SAT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0D0001"/>
      <sheetName val="20D0002"/>
      <sheetName val="20D0003"/>
      <sheetName val="20D0004"/>
      <sheetName val="20D0005"/>
      <sheetName val="20D0012"/>
      <sheetName val="20D0013"/>
      <sheetName val="20D0014"/>
      <sheetName val="20D0016"/>
    </sheetNames>
    <sheetDataSet>
      <sheetData sheetId="0">
        <row r="8">
          <cell r="B8">
            <v>45453695.240000002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0D0006"/>
      <sheetName val="20D0007"/>
      <sheetName val="20D0008"/>
      <sheetName val="20D0009"/>
      <sheetName val="20D0010"/>
      <sheetName val="Blank 1"/>
      <sheetName val="Blank 2"/>
      <sheetName val="Blank 3"/>
      <sheetName val="Blank 4"/>
    </sheetNames>
    <sheetDataSet>
      <sheetData sheetId="0">
        <row r="8">
          <cell r="B8">
            <v>3001068.7599999905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2491228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1623895.2300000004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3365235.6499999985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1D0003"/>
      <sheetName val="21D0004"/>
      <sheetName val="21D0005"/>
      <sheetName val="Blank"/>
      <sheetName val="Blank 1"/>
      <sheetName val="Blank 2"/>
      <sheetName val="Blank 3"/>
      <sheetName val="Blank 4"/>
      <sheetName val="Blank 5"/>
    </sheetNames>
    <sheetDataSet>
      <sheetData sheetId="0">
        <row r="8">
          <cell r="B8">
            <v>81476.530000000494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1125755.21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1077104.23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1D0009"/>
      <sheetName val="21D0010"/>
      <sheetName val="21D0011"/>
      <sheetName val="Blank"/>
      <sheetName val="Blank 1"/>
      <sheetName val="Blank 2"/>
      <sheetName val="Blank 3"/>
      <sheetName val="Blank 4"/>
      <sheetName val="Blank 5"/>
    </sheetNames>
    <sheetDataSet>
      <sheetData sheetId="0">
        <row r="9">
          <cell r="B9">
            <v>2050198.0100000007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2D0002"/>
      <sheetName val="22D0003"/>
      <sheetName val="22D0004"/>
    </sheetNames>
    <sheetDataSet>
      <sheetData sheetId="0">
        <row r="6">
          <cell r="B6">
            <v>1045317.4300000014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2D0005"/>
      <sheetName val="22D0006"/>
      <sheetName val="22D0007"/>
    </sheetNames>
    <sheetDataSet>
      <sheetData sheetId="0">
        <row r="6">
          <cell r="B6">
            <v>6096348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2D0016"/>
      <sheetName val="22D0017"/>
      <sheetName val="22D0018"/>
      <sheetName val="22D0019"/>
      <sheetName val="22D0020"/>
    </sheetNames>
    <sheetDataSet>
      <sheetData sheetId="0">
        <row r="6">
          <cell r="B6">
            <v>67084386.099999994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18097363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3D0001"/>
      <sheetName val="23D0002"/>
      <sheetName val="23D0003"/>
      <sheetName val="23D0004"/>
      <sheetName val="23D0005"/>
      <sheetName val="23D0006"/>
      <sheetName val="23D0007"/>
      <sheetName val="23D0008"/>
    </sheetNames>
    <sheetDataSet>
      <sheetData sheetId="0">
        <row r="6">
          <cell r="B6">
            <v>221980702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3D0009"/>
      <sheetName val="23D0010"/>
      <sheetName val="23D0011"/>
    </sheetNames>
    <sheetDataSet>
      <sheetData sheetId="0">
        <row r="8">
          <cell r="B8">
            <v>6651376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3D0012"/>
    </sheetNames>
    <sheetDataSet>
      <sheetData sheetId="0">
        <row r="6">
          <cell r="B6">
            <v>7331763.4899999984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C3">
            <v>2500000</v>
          </cell>
          <cell r="D3"/>
          <cell r="G3">
            <v>4060942.52</v>
          </cell>
          <cell r="H3"/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3D0022"/>
      <sheetName val="23D0023"/>
      <sheetName val="23D0024"/>
    </sheetNames>
    <sheetDataSet>
      <sheetData sheetId="0">
        <row r="6">
          <cell r="B6">
            <v>26788840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K3">
            <v>3287602</v>
          </cell>
          <cell r="L3"/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Front Page"/>
      <sheetName val="Mask"/>
      <sheetName val="Data"/>
      <sheetName val="Continuation Page"/>
    </sheetNames>
    <sheetDataSet>
      <sheetData sheetId="0">
        <row r="3">
          <cell r="G3">
            <v>16658259</v>
          </cell>
          <cell r="H3"/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4D0008"/>
      <sheetName val="24D0009"/>
      <sheetName val="24D0010"/>
    </sheetNames>
    <sheetDataSet>
      <sheetData sheetId="0">
        <row r="8">
          <cell r="B8">
            <v>18321906.990000002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FPs"/>
      <sheetName val="22D0019"/>
      <sheetName val="22D0020"/>
    </sheetNames>
    <sheetDataSet>
      <sheetData sheetId="0">
        <row r="8">
          <cell r="B8">
            <v>4888772</v>
          </cell>
        </row>
      </sheetData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4D0001"/>
      <sheetName val="24D0002"/>
      <sheetName val="24D0003"/>
      <sheetName val="24D0004"/>
      <sheetName val="24D0005"/>
      <sheetName val="24D0006"/>
      <sheetName val="24D0007"/>
    </sheetNames>
    <sheetDataSet>
      <sheetData sheetId="0">
        <row r="8">
          <cell r="B8">
            <v>155552963.94999999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5D0001 Aleut"/>
      <sheetName val="25D0002 Brice"/>
      <sheetName val="25D0003 ECC"/>
      <sheetName val="25D0004 NW"/>
    </sheetNames>
    <sheetDataSet>
      <sheetData sheetId="0">
        <row r="8">
          <cell r="B8">
            <v>47980000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4D0012"/>
    </sheetNames>
    <sheetDataSet>
      <sheetData sheetId="0">
        <row r="8">
          <cell r="B8">
            <v>311482620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FPs"/>
      <sheetName val="25DA001 Reliance"/>
    </sheetNames>
    <sheetDataSet>
      <sheetData sheetId="0">
        <row r="6">
          <cell r="B6">
            <v>24648470.030000001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4-14T16:27:50.5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T/Public/CT/Mod%20Cards/FY20/FY20%20D/20D0001-0005_0012-0014_0016%20ERS%20SB%20MATO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8"/>
  <sheetViews>
    <sheetView tabSelected="1" topLeftCell="A12" zoomScale="85" zoomScaleNormal="85" zoomScaleSheetLayoutView="100" workbookViewId="0">
      <selection activeCell="I32" sqref="I32"/>
    </sheetView>
  </sheetViews>
  <sheetFormatPr defaultRowHeight="15" outlineLevelRow="1" x14ac:dyDescent="0.25"/>
  <cols>
    <col min="1" max="1" width="33.140625" bestFit="1" customWidth="1"/>
    <col min="2" max="2" width="43.5703125" style="3" customWidth="1"/>
    <col min="3" max="3" width="43.28515625" style="3" customWidth="1"/>
    <col min="4" max="4" width="14.7109375" style="9" customWidth="1"/>
    <col min="5" max="9" width="17.28515625" style="9" customWidth="1"/>
    <col min="10" max="10" width="17.5703125" style="9" customWidth="1"/>
    <col min="11" max="11" width="26.28515625" style="9" hidden="1" customWidth="1"/>
    <col min="12" max="12" width="17.28515625" bestFit="1" customWidth="1"/>
    <col min="13" max="13" width="23.28515625" style="17" customWidth="1"/>
  </cols>
  <sheetData>
    <row r="1" spans="1:15" x14ac:dyDescent="0.25">
      <c r="B1" s="2"/>
    </row>
    <row r="2" spans="1:15" ht="26.25" x14ac:dyDescent="0.4">
      <c r="B2" s="84" t="s">
        <v>2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5" ht="94.5" x14ac:dyDescent="0.25">
      <c r="A3" s="4" t="s">
        <v>3</v>
      </c>
      <c r="B3" s="4" t="s">
        <v>10</v>
      </c>
      <c r="C3" s="4" t="s">
        <v>9</v>
      </c>
      <c r="D3" s="8" t="s">
        <v>4</v>
      </c>
      <c r="E3" s="8" t="s">
        <v>5</v>
      </c>
      <c r="F3" s="8" t="s">
        <v>34</v>
      </c>
      <c r="G3" s="8" t="s">
        <v>60</v>
      </c>
      <c r="H3" s="8" t="s">
        <v>111</v>
      </c>
      <c r="I3" s="8" t="s">
        <v>33</v>
      </c>
      <c r="J3" s="8" t="s">
        <v>6</v>
      </c>
      <c r="K3" s="8" t="s">
        <v>38</v>
      </c>
      <c r="L3" s="8" t="s">
        <v>30</v>
      </c>
      <c r="M3" s="8" t="s">
        <v>95</v>
      </c>
    </row>
    <row r="4" spans="1:15" outlineLevel="1" x14ac:dyDescent="0.25">
      <c r="A4" s="25"/>
      <c r="B4" s="25"/>
      <c r="C4" s="20"/>
      <c r="D4" s="26"/>
      <c r="E4" s="26"/>
      <c r="F4" s="27"/>
      <c r="G4" s="27"/>
      <c r="H4" s="27"/>
      <c r="I4" s="27"/>
      <c r="J4" s="28"/>
      <c r="K4" s="28"/>
      <c r="L4" s="18"/>
      <c r="M4" s="75"/>
    </row>
    <row r="5" spans="1:15" x14ac:dyDescent="0.25">
      <c r="A5" s="29" t="s">
        <v>85</v>
      </c>
      <c r="B5" s="29" t="s">
        <v>12</v>
      </c>
      <c r="C5" s="29" t="s">
        <v>29</v>
      </c>
      <c r="D5" s="30">
        <v>43943</v>
      </c>
      <c r="E5" s="30">
        <v>45768</v>
      </c>
      <c r="F5" s="71">
        <v>45768</v>
      </c>
      <c r="G5" s="30"/>
      <c r="H5" s="30"/>
      <c r="I5" s="31" t="s">
        <v>35</v>
      </c>
      <c r="J5" s="32">
        <v>140000000</v>
      </c>
      <c r="K5" s="32">
        <v>97052483</v>
      </c>
      <c r="L5" s="19">
        <f>SUM([1]Summary!$B$8)</f>
        <v>45453695.240000002</v>
      </c>
      <c r="M5" s="75"/>
      <c r="O5" t="s">
        <v>32</v>
      </c>
    </row>
    <row r="6" spans="1:15" x14ac:dyDescent="0.25">
      <c r="A6" s="62" t="s">
        <v>7</v>
      </c>
      <c r="B6" s="62" t="s">
        <v>0</v>
      </c>
      <c r="C6" s="62" t="s">
        <v>17</v>
      </c>
      <c r="D6" s="63">
        <v>44034</v>
      </c>
      <c r="E6" s="63">
        <v>45859</v>
      </c>
      <c r="F6" s="63">
        <v>45859</v>
      </c>
      <c r="G6" s="63"/>
      <c r="H6" s="63"/>
      <c r="I6" s="63" t="s">
        <v>35</v>
      </c>
      <c r="J6" s="64">
        <v>98000000</v>
      </c>
      <c r="K6" s="64">
        <v>66154033</v>
      </c>
      <c r="L6" s="72">
        <f>SUM([2]Summary!$B$8)</f>
        <v>3001068.7599999905</v>
      </c>
      <c r="M6" s="75"/>
    </row>
    <row r="7" spans="1:15" x14ac:dyDescent="0.25">
      <c r="A7" s="25" t="s">
        <v>22</v>
      </c>
      <c r="B7" s="25" t="s">
        <v>26</v>
      </c>
      <c r="C7" s="25" t="s">
        <v>25</v>
      </c>
      <c r="D7" s="26">
        <v>44096</v>
      </c>
      <c r="E7" s="26">
        <v>45921</v>
      </c>
      <c r="F7" s="66">
        <v>45921</v>
      </c>
      <c r="G7" s="33"/>
      <c r="H7" s="33"/>
      <c r="I7" s="27" t="s">
        <v>35</v>
      </c>
      <c r="J7" s="28">
        <v>20000000</v>
      </c>
      <c r="K7" s="28">
        <v>14238003</v>
      </c>
      <c r="L7" s="18">
        <f>SUM('[3]Data Input'!$G$3)</f>
        <v>2491228</v>
      </c>
      <c r="M7" s="75"/>
    </row>
    <row r="8" spans="1:15" x14ac:dyDescent="0.25">
      <c r="A8" s="25" t="s">
        <v>23</v>
      </c>
      <c r="B8" s="25" t="s">
        <v>27</v>
      </c>
      <c r="C8" s="25" t="s">
        <v>25</v>
      </c>
      <c r="D8" s="26">
        <v>44088</v>
      </c>
      <c r="E8" s="26">
        <v>45913</v>
      </c>
      <c r="F8" s="66">
        <v>45913</v>
      </c>
      <c r="G8" s="33"/>
      <c r="H8" s="33"/>
      <c r="I8" s="27" t="s">
        <v>35</v>
      </c>
      <c r="J8" s="28">
        <v>20000000</v>
      </c>
      <c r="K8" s="28">
        <v>14822540</v>
      </c>
      <c r="L8" s="18">
        <f>SUM('[4]Data Input'!$G$3)</f>
        <v>1623895.2300000004</v>
      </c>
      <c r="M8" s="75"/>
    </row>
    <row r="9" spans="1:15" x14ac:dyDescent="0.25">
      <c r="A9" s="25" t="s">
        <v>24</v>
      </c>
      <c r="B9" s="25" t="s">
        <v>28</v>
      </c>
      <c r="C9" s="25" t="s">
        <v>25</v>
      </c>
      <c r="D9" s="26">
        <v>44083</v>
      </c>
      <c r="E9" s="26">
        <v>45908</v>
      </c>
      <c r="F9" s="66">
        <v>45908</v>
      </c>
      <c r="G9" s="33"/>
      <c r="H9" s="33"/>
      <c r="I9" s="27" t="s">
        <v>35</v>
      </c>
      <c r="J9" s="28">
        <v>20000000</v>
      </c>
      <c r="K9" s="28">
        <v>12737424</v>
      </c>
      <c r="L9" s="18">
        <f>SUM('[5]Data Input'!$G$3)</f>
        <v>3365235.6499999985</v>
      </c>
      <c r="M9" s="75"/>
    </row>
    <row r="10" spans="1:15" hidden="1" outlineLevel="1" x14ac:dyDescent="0.25">
      <c r="A10" s="34"/>
      <c r="B10" s="25"/>
      <c r="C10" s="34"/>
      <c r="D10" s="35"/>
      <c r="E10" s="35"/>
      <c r="F10" s="35"/>
      <c r="G10" s="35"/>
      <c r="H10" s="35"/>
      <c r="I10" s="35"/>
      <c r="J10" s="36"/>
      <c r="K10" s="36"/>
      <c r="L10" s="18">
        <f>[6]Summary!$B$8</f>
        <v>81476.530000000494</v>
      </c>
      <c r="M10" s="75"/>
    </row>
    <row r="11" spans="1:15" ht="30" collapsed="1" x14ac:dyDescent="0.25">
      <c r="A11" s="25" t="s">
        <v>15</v>
      </c>
      <c r="B11" s="25" t="s">
        <v>18</v>
      </c>
      <c r="C11" s="20" t="s">
        <v>14</v>
      </c>
      <c r="D11" s="26">
        <v>44127</v>
      </c>
      <c r="E11" s="26">
        <v>45952</v>
      </c>
      <c r="F11" s="66">
        <v>45952</v>
      </c>
      <c r="G11" s="83" t="s">
        <v>109</v>
      </c>
      <c r="H11" s="38" t="s">
        <v>70</v>
      </c>
      <c r="I11" s="27" t="s">
        <v>35</v>
      </c>
      <c r="J11" s="28">
        <v>2000000</v>
      </c>
      <c r="K11" s="28">
        <v>1928844</v>
      </c>
      <c r="L11" s="18">
        <f>SUM('[7]Data Input'!$G$3)</f>
        <v>1125755.21</v>
      </c>
      <c r="M11" s="75"/>
    </row>
    <row r="12" spans="1:15" ht="30" x14ac:dyDescent="0.25">
      <c r="A12" s="25" t="s">
        <v>16</v>
      </c>
      <c r="B12" s="25" t="s">
        <v>19</v>
      </c>
      <c r="C12" s="20" t="s">
        <v>14</v>
      </c>
      <c r="D12" s="26">
        <v>44127</v>
      </c>
      <c r="E12" s="26">
        <v>45952</v>
      </c>
      <c r="F12" s="66">
        <v>45952</v>
      </c>
      <c r="G12" s="83" t="s">
        <v>109</v>
      </c>
      <c r="H12" s="38" t="s">
        <v>70</v>
      </c>
      <c r="I12" s="27" t="s">
        <v>35</v>
      </c>
      <c r="J12" s="28">
        <v>2000000</v>
      </c>
      <c r="K12" s="28">
        <v>1798738</v>
      </c>
      <c r="L12" s="18">
        <f>SUM('[8]Data Input'!$G$3)</f>
        <v>1077104.23</v>
      </c>
      <c r="M12" s="75"/>
    </row>
    <row r="13" spans="1:15" ht="30" x14ac:dyDescent="0.25">
      <c r="A13" s="25" t="s">
        <v>50</v>
      </c>
      <c r="B13" s="25" t="s">
        <v>36</v>
      </c>
      <c r="C13" s="39" t="s">
        <v>37</v>
      </c>
      <c r="D13" s="26"/>
      <c r="E13" s="26"/>
      <c r="F13" s="26">
        <v>46209</v>
      </c>
      <c r="G13" s="38" t="s">
        <v>109</v>
      </c>
      <c r="H13" s="38" t="s">
        <v>72</v>
      </c>
      <c r="I13" s="27" t="s">
        <v>35</v>
      </c>
      <c r="J13" s="28">
        <v>36000000</v>
      </c>
      <c r="K13" s="28">
        <v>34732684</v>
      </c>
      <c r="L13" s="32">
        <f>SUM([9]Summary!$B$9)</f>
        <v>2050198.0100000007</v>
      </c>
      <c r="M13" s="75"/>
    </row>
    <row r="14" spans="1:15" x14ac:dyDescent="0.25">
      <c r="A14" s="25" t="s">
        <v>51</v>
      </c>
      <c r="B14" s="25" t="s">
        <v>47</v>
      </c>
      <c r="C14" s="39" t="s">
        <v>48</v>
      </c>
      <c r="D14" s="26"/>
      <c r="E14" s="26"/>
      <c r="F14" s="26">
        <v>46349</v>
      </c>
      <c r="G14" s="37">
        <v>45408</v>
      </c>
      <c r="H14" s="26"/>
      <c r="I14" s="26" t="s">
        <v>49</v>
      </c>
      <c r="J14" s="28">
        <v>18000000</v>
      </c>
      <c r="K14" s="28">
        <v>17992500</v>
      </c>
      <c r="L14" s="32">
        <f>SUM([10]Summary!$B$6)</f>
        <v>1045317.4300000014</v>
      </c>
      <c r="M14" s="75"/>
    </row>
    <row r="15" spans="1:15" ht="30" x14ac:dyDescent="0.25">
      <c r="A15" s="25" t="s">
        <v>52</v>
      </c>
      <c r="B15" s="25" t="s">
        <v>42</v>
      </c>
      <c r="C15" s="40" t="s">
        <v>31</v>
      </c>
      <c r="D15" s="26"/>
      <c r="E15" s="26"/>
      <c r="F15" s="26">
        <v>46461</v>
      </c>
      <c r="G15" s="38" t="s">
        <v>109</v>
      </c>
      <c r="H15" s="38" t="s">
        <v>72</v>
      </c>
      <c r="I15" s="27" t="s">
        <v>43</v>
      </c>
      <c r="J15" s="28">
        <v>9500000</v>
      </c>
      <c r="K15" s="28">
        <v>9493959</v>
      </c>
      <c r="L15" s="32">
        <f>[11]Summary!$B$6</f>
        <v>6096348</v>
      </c>
      <c r="M15" s="75"/>
    </row>
    <row r="16" spans="1:15" x14ac:dyDescent="0.25">
      <c r="A16" s="25" t="s">
        <v>53</v>
      </c>
      <c r="B16" s="25" t="s">
        <v>46</v>
      </c>
      <c r="C16" s="40" t="s">
        <v>41</v>
      </c>
      <c r="D16" s="26"/>
      <c r="E16" s="26"/>
      <c r="F16" s="66">
        <v>45876</v>
      </c>
      <c r="G16" s="26"/>
      <c r="H16" s="26"/>
      <c r="I16" s="26" t="s">
        <v>40</v>
      </c>
      <c r="J16" s="28">
        <v>100000000</v>
      </c>
      <c r="K16" s="28">
        <v>98332275</v>
      </c>
      <c r="L16" s="32">
        <f>SUM([12]Summary!$B$6)</f>
        <v>67084386.099999994</v>
      </c>
      <c r="M16" s="75"/>
    </row>
    <row r="17" spans="1:13" x14ac:dyDescent="0.25">
      <c r="A17" s="40" t="s">
        <v>54</v>
      </c>
      <c r="B17" s="40" t="s">
        <v>44</v>
      </c>
      <c r="C17" s="40" t="s">
        <v>39</v>
      </c>
      <c r="D17" s="41"/>
      <c r="E17" s="41"/>
      <c r="F17" s="42">
        <v>46658</v>
      </c>
      <c r="G17" s="43"/>
      <c r="H17" s="43"/>
      <c r="I17" s="41" t="s">
        <v>45</v>
      </c>
      <c r="J17" s="44">
        <v>20000000</v>
      </c>
      <c r="K17" s="28">
        <v>19735498</v>
      </c>
      <c r="L17" s="32">
        <f>SUM('[13]Data Input'!$G$3)</f>
        <v>18097363</v>
      </c>
      <c r="M17" s="75"/>
    </row>
    <row r="18" spans="1:13" ht="30" x14ac:dyDescent="0.25">
      <c r="A18" s="45" t="s">
        <v>63</v>
      </c>
      <c r="B18" s="46" t="s">
        <v>64</v>
      </c>
      <c r="C18" s="47" t="s">
        <v>55</v>
      </c>
      <c r="D18" s="42">
        <v>45103</v>
      </c>
      <c r="E18" s="42">
        <v>11134</v>
      </c>
      <c r="F18" s="42">
        <v>11134</v>
      </c>
      <c r="G18" s="37">
        <v>45408</v>
      </c>
      <c r="H18" s="38" t="s">
        <v>70</v>
      </c>
      <c r="I18" s="41" t="s">
        <v>65</v>
      </c>
      <c r="J18" s="44">
        <v>245000000</v>
      </c>
      <c r="K18" s="41"/>
      <c r="L18" s="48">
        <f>SUM([14]Summary!$B$6)</f>
        <v>221980702</v>
      </c>
      <c r="M18" s="75"/>
    </row>
    <row r="19" spans="1:13" ht="30" x14ac:dyDescent="0.25">
      <c r="A19" s="45" t="s">
        <v>59</v>
      </c>
      <c r="B19" s="46" t="s">
        <v>58</v>
      </c>
      <c r="C19" s="49" t="s">
        <v>11</v>
      </c>
      <c r="D19" s="41"/>
      <c r="E19" s="41"/>
      <c r="F19" s="50">
        <v>46712</v>
      </c>
      <c r="G19" s="42">
        <v>45394</v>
      </c>
      <c r="H19" s="38" t="s">
        <v>70</v>
      </c>
      <c r="I19" s="41" t="s">
        <v>45</v>
      </c>
      <c r="J19" s="44">
        <v>9750000</v>
      </c>
      <c r="K19" s="41"/>
      <c r="L19" s="48">
        <f>SUM([15]Summary!$B$8)</f>
        <v>6651376</v>
      </c>
      <c r="M19" s="75"/>
    </row>
    <row r="20" spans="1:13" ht="31.5" x14ac:dyDescent="0.25">
      <c r="A20" s="45" t="s">
        <v>89</v>
      </c>
      <c r="B20" s="46" t="s">
        <v>90</v>
      </c>
      <c r="C20" s="69" t="s">
        <v>94</v>
      </c>
      <c r="D20" s="42">
        <v>45026</v>
      </c>
      <c r="E20" s="42">
        <v>46486</v>
      </c>
      <c r="F20" s="42">
        <v>46486</v>
      </c>
      <c r="G20" s="42">
        <v>45394</v>
      </c>
      <c r="H20" s="38" t="s">
        <v>70</v>
      </c>
      <c r="I20" s="41" t="s">
        <v>45</v>
      </c>
      <c r="J20" s="44">
        <v>35000000</v>
      </c>
      <c r="K20" s="41"/>
      <c r="L20" s="48">
        <f>SUM([16]Summary!$B$6)</f>
        <v>7331763.4899999984</v>
      </c>
      <c r="M20" s="75"/>
    </row>
    <row r="21" spans="1:13" x14ac:dyDescent="0.25">
      <c r="A21" s="45" t="s">
        <v>69</v>
      </c>
      <c r="B21" s="46" t="s">
        <v>68</v>
      </c>
      <c r="C21" s="49" t="s">
        <v>56</v>
      </c>
      <c r="D21" s="42">
        <v>45133</v>
      </c>
      <c r="E21" s="42">
        <v>46959</v>
      </c>
      <c r="F21" s="51">
        <v>46228</v>
      </c>
      <c r="G21" s="37">
        <v>45408</v>
      </c>
      <c r="H21" s="52" t="s">
        <v>71</v>
      </c>
      <c r="I21" s="73" t="s">
        <v>49</v>
      </c>
      <c r="J21" s="54">
        <v>5000000</v>
      </c>
      <c r="K21" s="53"/>
      <c r="L21" s="55">
        <f>SUM('[17]Data Input'!$G$3:$H$3)</f>
        <v>4060942.52</v>
      </c>
      <c r="M21" s="76">
        <f>SUM('[17]Data Input'!$C$3:$D$3)</f>
        <v>2500000</v>
      </c>
    </row>
    <row r="22" spans="1:13" ht="45" x14ac:dyDescent="0.25">
      <c r="A22" s="45" t="s">
        <v>61</v>
      </c>
      <c r="B22" s="40" t="s">
        <v>62</v>
      </c>
      <c r="C22" s="47" t="s">
        <v>20</v>
      </c>
      <c r="D22" s="42">
        <v>45089</v>
      </c>
      <c r="E22" s="42">
        <v>46915</v>
      </c>
      <c r="F22" s="42">
        <v>46915</v>
      </c>
      <c r="G22" s="43"/>
      <c r="H22" s="43"/>
      <c r="I22" s="27" t="s">
        <v>43</v>
      </c>
      <c r="J22" s="44">
        <v>45000000</v>
      </c>
      <c r="K22" s="41"/>
      <c r="L22" s="48">
        <f>SUM([18]Summary!$B$6)</f>
        <v>26788840</v>
      </c>
      <c r="M22" s="75"/>
    </row>
    <row r="23" spans="1:13" ht="45" x14ac:dyDescent="0.25">
      <c r="A23" s="45" t="s">
        <v>82</v>
      </c>
      <c r="B23" s="40" t="s">
        <v>83</v>
      </c>
      <c r="C23" s="47" t="s">
        <v>84</v>
      </c>
      <c r="D23" s="42">
        <v>45191</v>
      </c>
      <c r="E23" s="42">
        <v>46286</v>
      </c>
      <c r="F23" s="42">
        <v>46286</v>
      </c>
      <c r="G23" s="43"/>
      <c r="H23" s="43"/>
      <c r="I23" s="27" t="s">
        <v>35</v>
      </c>
      <c r="J23" s="44">
        <v>4500000</v>
      </c>
      <c r="K23" s="41"/>
      <c r="L23" s="48" cm="1">
        <f t="array" ref="L23:M23">'[19]Data Input'!$K$3:$L$3</f>
        <v>3287602</v>
      </c>
      <c r="M23" s="75">
        <v>0</v>
      </c>
    </row>
    <row r="24" spans="1:13" x14ac:dyDescent="0.25">
      <c r="A24" s="40" t="s">
        <v>66</v>
      </c>
      <c r="B24" s="40" t="s">
        <v>21</v>
      </c>
      <c r="C24" s="40" t="s">
        <v>25</v>
      </c>
      <c r="D24" s="42">
        <v>45196</v>
      </c>
      <c r="E24" s="42">
        <v>47022</v>
      </c>
      <c r="F24" s="42">
        <v>47022</v>
      </c>
      <c r="G24" s="43"/>
      <c r="H24" s="43"/>
      <c r="I24" s="41" t="s">
        <v>65</v>
      </c>
      <c r="J24" s="22">
        <v>20000000</v>
      </c>
      <c r="K24" s="41"/>
      <c r="L24" s="70">
        <f>SUM('[20]Data Input'!$G$3:$H$3)</f>
        <v>16658259</v>
      </c>
      <c r="M24" s="75"/>
    </row>
    <row r="25" spans="1:13" ht="30" x14ac:dyDescent="0.25">
      <c r="A25" s="40" t="s">
        <v>76</v>
      </c>
      <c r="B25" s="46" t="s">
        <v>75</v>
      </c>
      <c r="C25" s="56" t="s">
        <v>74</v>
      </c>
      <c r="D25" s="42">
        <v>45373</v>
      </c>
      <c r="E25" s="42">
        <v>47198</v>
      </c>
      <c r="F25" s="42">
        <v>47198</v>
      </c>
      <c r="G25" s="24">
        <v>45383</v>
      </c>
      <c r="H25" s="38" t="s">
        <v>72</v>
      </c>
      <c r="I25" s="41" t="s">
        <v>65</v>
      </c>
      <c r="J25" s="22">
        <v>25000000</v>
      </c>
      <c r="K25" s="41"/>
      <c r="L25" s="22">
        <f>SUM([21]Summary!$B$8)</f>
        <v>18321906.990000002</v>
      </c>
      <c r="M25" s="75"/>
    </row>
    <row r="26" spans="1:13" ht="45" x14ac:dyDescent="0.25">
      <c r="A26" s="40" t="s">
        <v>79</v>
      </c>
      <c r="B26" s="46" t="s">
        <v>80</v>
      </c>
      <c r="C26" s="56" t="s">
        <v>81</v>
      </c>
      <c r="D26" s="42">
        <v>45495</v>
      </c>
      <c r="E26" s="42">
        <v>47321</v>
      </c>
      <c r="F26" s="42">
        <v>47321</v>
      </c>
      <c r="G26" s="43"/>
      <c r="H26" s="43"/>
      <c r="I26" s="41" t="s">
        <v>65</v>
      </c>
      <c r="J26" s="22">
        <v>5000000</v>
      </c>
      <c r="K26" s="41"/>
      <c r="L26" s="22">
        <f>[22]Summary!$B$8</f>
        <v>4888772</v>
      </c>
      <c r="M26" s="75"/>
    </row>
    <row r="27" spans="1:13" ht="60" x14ac:dyDescent="0.25">
      <c r="A27" s="15" t="s">
        <v>86</v>
      </c>
      <c r="B27" s="61" t="s">
        <v>88</v>
      </c>
      <c r="C27" s="5" t="s">
        <v>37</v>
      </c>
      <c r="D27" s="60">
        <v>45565</v>
      </c>
      <c r="E27" s="60">
        <v>11595</v>
      </c>
      <c r="F27" s="60">
        <v>47390</v>
      </c>
      <c r="G27" s="11"/>
      <c r="H27" s="11" t="s">
        <v>112</v>
      </c>
      <c r="I27" s="74" t="s">
        <v>87</v>
      </c>
      <c r="J27" s="22">
        <v>200000000</v>
      </c>
      <c r="K27" s="11"/>
      <c r="L27" s="65">
        <f>SUM([23]Summary!$B$8)</f>
        <v>155552963.94999999</v>
      </c>
      <c r="M27" s="76">
        <v>49000000</v>
      </c>
    </row>
    <row r="28" spans="1:13" ht="15.75" x14ac:dyDescent="0.25">
      <c r="A28" s="15" t="s">
        <v>99</v>
      </c>
      <c r="B28" s="61" t="s">
        <v>100</v>
      </c>
      <c r="C28" s="5" t="s">
        <v>98</v>
      </c>
      <c r="D28" s="60">
        <v>45603</v>
      </c>
      <c r="E28" s="60">
        <v>47428</v>
      </c>
      <c r="F28" s="60">
        <v>47428</v>
      </c>
      <c r="G28" s="78"/>
      <c r="H28" s="11" t="s">
        <v>70</v>
      </c>
      <c r="I28" s="77" t="s">
        <v>35</v>
      </c>
      <c r="J28" s="22">
        <v>48000000</v>
      </c>
      <c r="K28" s="11"/>
      <c r="L28" s="65">
        <f>SUM([24]Summary!$B$8)</f>
        <v>47980000</v>
      </c>
      <c r="M28" s="79"/>
    </row>
    <row r="29" spans="1:13" x14ac:dyDescent="0.25">
      <c r="A29" s="15" t="s">
        <v>91</v>
      </c>
      <c r="B29" s="61" t="s">
        <v>92</v>
      </c>
      <c r="C29" s="20" t="s">
        <v>57</v>
      </c>
      <c r="D29" s="60">
        <v>45426</v>
      </c>
      <c r="E29" s="60">
        <v>47981</v>
      </c>
      <c r="F29" s="60">
        <v>47981</v>
      </c>
      <c r="G29" s="43"/>
      <c r="H29" s="43"/>
      <c r="I29" s="11" t="s">
        <v>35</v>
      </c>
      <c r="J29" s="22">
        <v>499950000</v>
      </c>
      <c r="K29" s="11"/>
      <c r="L29" s="65">
        <f>SUM([25]Summary!$B$8)</f>
        <v>311482620</v>
      </c>
      <c r="M29" s="75"/>
    </row>
    <row r="30" spans="1:13" ht="30" x14ac:dyDescent="0.25">
      <c r="A30" s="15" t="s">
        <v>106</v>
      </c>
      <c r="B30" s="61" t="s">
        <v>101</v>
      </c>
      <c r="C30" s="7" t="s">
        <v>73</v>
      </c>
      <c r="D30" s="60">
        <v>45709</v>
      </c>
      <c r="E30" s="60">
        <v>47534</v>
      </c>
      <c r="F30" s="60">
        <v>47534</v>
      </c>
      <c r="G30" s="11"/>
      <c r="H30" s="38" t="s">
        <v>72</v>
      </c>
      <c r="I30" s="41" t="s">
        <v>65</v>
      </c>
      <c r="J30" s="22">
        <v>20000000</v>
      </c>
      <c r="K30" s="11"/>
      <c r="L30" s="22">
        <v>19985000</v>
      </c>
      <c r="M30" s="75"/>
    </row>
    <row r="31" spans="1:13" x14ac:dyDescent="0.25">
      <c r="A31" s="81" t="s">
        <v>102</v>
      </c>
      <c r="B31" s="7" t="s">
        <v>103</v>
      </c>
      <c r="C31" s="7" t="s">
        <v>93</v>
      </c>
      <c r="D31" s="60">
        <v>45722</v>
      </c>
      <c r="E31" s="60">
        <v>47547</v>
      </c>
      <c r="F31" s="60">
        <v>47547</v>
      </c>
      <c r="G31" s="11"/>
      <c r="H31" s="11" t="s">
        <v>70</v>
      </c>
      <c r="I31" s="41" t="s">
        <v>65</v>
      </c>
      <c r="J31" s="67">
        <v>25000000</v>
      </c>
      <c r="L31" s="80">
        <f>SUM([26]Summary!$B$6)</f>
        <v>24648470.030000001</v>
      </c>
      <c r="M31" s="75"/>
    </row>
    <row r="32" spans="1:13" ht="30" x14ac:dyDescent="0.25">
      <c r="A32" s="86" t="s">
        <v>113</v>
      </c>
      <c r="B32" s="61" t="s">
        <v>115</v>
      </c>
      <c r="C32" s="7" t="s">
        <v>114</v>
      </c>
      <c r="D32" s="60">
        <v>45778</v>
      </c>
      <c r="E32" s="60">
        <v>11078</v>
      </c>
      <c r="F32" s="60">
        <v>11078</v>
      </c>
      <c r="G32" s="11"/>
      <c r="H32" s="11" t="s">
        <v>70</v>
      </c>
      <c r="I32" s="41" t="s">
        <v>65</v>
      </c>
      <c r="J32" s="22">
        <v>97000000</v>
      </c>
      <c r="L32" s="80">
        <v>97000000</v>
      </c>
      <c r="M32" s="75"/>
    </row>
    <row r="33" spans="1:13" x14ac:dyDescent="0.25">
      <c r="A33" s="68"/>
      <c r="B33" s="7"/>
      <c r="C33" s="7"/>
      <c r="D33" s="60"/>
      <c r="E33" s="60"/>
      <c r="F33" s="60"/>
      <c r="G33" s="11"/>
      <c r="H33" s="11"/>
      <c r="I33" s="41"/>
      <c r="J33" s="67"/>
      <c r="L33" s="21"/>
      <c r="M33" s="75"/>
    </row>
    <row r="34" spans="1:13" x14ac:dyDescent="0.25">
      <c r="A34" s="57" t="s">
        <v>1</v>
      </c>
      <c r="B34" s="40"/>
      <c r="C34" s="57"/>
      <c r="D34" s="58"/>
      <c r="E34" s="58"/>
      <c r="F34" s="58"/>
      <c r="G34" s="58"/>
      <c r="H34" s="58"/>
      <c r="I34" s="58"/>
      <c r="J34" s="59"/>
      <c r="K34" s="59">
        <f>SUM(K4:K17)</f>
        <v>389018981</v>
      </c>
      <c r="L34" s="16">
        <f>SUM(L4:L31)</f>
        <v>1022212289.3699999</v>
      </c>
    </row>
    <row r="35" spans="1:13" ht="15.75" x14ac:dyDescent="0.25">
      <c r="B35" s="6"/>
      <c r="C35" s="6"/>
      <c r="D35" s="10"/>
      <c r="E35" s="10"/>
      <c r="F35" s="10"/>
      <c r="G35" s="10"/>
      <c r="H35" s="10"/>
      <c r="I35" s="10"/>
      <c r="J35" s="10"/>
      <c r="K35" s="10"/>
    </row>
    <row r="36" spans="1:13" ht="15.75" x14ac:dyDescent="0.25">
      <c r="B36" s="6"/>
      <c r="C36" s="6"/>
      <c r="D36" s="10"/>
      <c r="E36" s="10"/>
      <c r="F36" s="10"/>
      <c r="G36" s="10"/>
      <c r="H36" s="10"/>
      <c r="I36" s="10"/>
      <c r="J36" s="10"/>
      <c r="K36" s="10"/>
    </row>
    <row r="37" spans="1:13" ht="26.25" x14ac:dyDescent="0.4">
      <c r="B37" s="84" t="s">
        <v>13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3" ht="31.5" x14ac:dyDescent="0.25">
      <c r="A38" s="4" t="s">
        <v>3</v>
      </c>
      <c r="B38" s="4" t="s">
        <v>10</v>
      </c>
      <c r="C38" s="4" t="s">
        <v>9</v>
      </c>
      <c r="D38" s="8" t="s">
        <v>4</v>
      </c>
      <c r="E38" s="8" t="s">
        <v>5</v>
      </c>
      <c r="F38" s="8" t="s">
        <v>4</v>
      </c>
      <c r="G38" s="8"/>
      <c r="H38" s="8"/>
      <c r="I38" s="11"/>
      <c r="J38" s="8" t="s">
        <v>6</v>
      </c>
      <c r="K38" s="11"/>
      <c r="L38" s="8" t="s">
        <v>8</v>
      </c>
    </row>
    <row r="39" spans="1:13" x14ac:dyDescent="0.25">
      <c r="A39" s="15" t="s">
        <v>67</v>
      </c>
      <c r="B39" s="7" t="s">
        <v>17</v>
      </c>
      <c r="C39" s="7" t="s">
        <v>17</v>
      </c>
      <c r="D39" s="11"/>
      <c r="E39" s="11"/>
      <c r="F39" s="11" t="s">
        <v>110</v>
      </c>
      <c r="G39" s="11"/>
      <c r="H39" s="11"/>
      <c r="I39" s="11"/>
      <c r="J39" s="22">
        <v>450000000</v>
      </c>
      <c r="K39" s="11"/>
      <c r="L39" s="21"/>
    </row>
    <row r="40" spans="1:13" x14ac:dyDescent="0.25">
      <c r="A40" s="15"/>
      <c r="B40" s="7"/>
      <c r="C40" s="7" t="s">
        <v>107</v>
      </c>
      <c r="D40" s="11"/>
      <c r="E40" s="11"/>
      <c r="F40" s="11" t="s">
        <v>108</v>
      </c>
      <c r="G40" s="11"/>
      <c r="H40" s="11"/>
      <c r="I40" s="11"/>
      <c r="J40" s="82">
        <v>80000000</v>
      </c>
      <c r="K40" s="11"/>
      <c r="L40" s="21"/>
    </row>
    <row r="41" spans="1:13" x14ac:dyDescent="0.25">
      <c r="A41" s="23" t="s">
        <v>77</v>
      </c>
      <c r="B41" s="7" t="s">
        <v>78</v>
      </c>
      <c r="C41" s="7" t="s">
        <v>97</v>
      </c>
      <c r="D41" s="11"/>
      <c r="E41" s="11"/>
      <c r="F41" s="11" t="s">
        <v>96</v>
      </c>
      <c r="G41" s="11"/>
      <c r="H41" s="11"/>
      <c r="I41" s="11"/>
      <c r="J41" s="22">
        <v>97000000</v>
      </c>
      <c r="K41" s="11"/>
      <c r="L41" s="21"/>
    </row>
    <row r="42" spans="1:13" x14ac:dyDescent="0.25">
      <c r="A42" s="23"/>
      <c r="B42" s="7" t="s">
        <v>104</v>
      </c>
      <c r="C42" s="7" t="s">
        <v>104</v>
      </c>
      <c r="D42" s="11"/>
      <c r="E42" s="11"/>
      <c r="F42" s="11" t="s">
        <v>105</v>
      </c>
      <c r="G42" s="11"/>
      <c r="H42" s="11"/>
      <c r="I42" s="11"/>
      <c r="J42" s="22" t="s">
        <v>105</v>
      </c>
      <c r="K42" s="11"/>
      <c r="L42" s="21"/>
    </row>
    <row r="44" spans="1:13" x14ac:dyDescent="0.25">
      <c r="B44" s="1"/>
      <c r="C44" s="1"/>
      <c r="D44" s="13"/>
      <c r="E44" s="12"/>
      <c r="F44" s="12"/>
      <c r="G44" s="12"/>
      <c r="H44" s="12"/>
      <c r="I44" s="12"/>
      <c r="J44" s="14"/>
      <c r="K44" s="14"/>
    </row>
    <row r="45" spans="1:13" x14ac:dyDescent="0.25">
      <c r="B45" s="1"/>
      <c r="C45" s="1"/>
      <c r="D45" s="13"/>
      <c r="E45" s="12"/>
      <c r="F45" s="12"/>
      <c r="G45" s="12"/>
      <c r="H45" s="12"/>
      <c r="I45" s="12"/>
      <c r="J45" s="14"/>
      <c r="K45" s="14"/>
    </row>
    <row r="46" spans="1:13" x14ac:dyDescent="0.25">
      <c r="B46" s="1"/>
      <c r="C46" s="1"/>
      <c r="D46" s="13"/>
      <c r="E46" s="12"/>
      <c r="F46" s="12"/>
      <c r="G46" s="12"/>
      <c r="H46" s="12"/>
      <c r="I46" s="12"/>
      <c r="J46" s="14"/>
      <c r="K46" s="14"/>
    </row>
    <row r="47" spans="1:13" x14ac:dyDescent="0.25">
      <c r="B47" s="1"/>
      <c r="C47" s="1"/>
      <c r="D47" s="12"/>
      <c r="E47" s="12"/>
      <c r="F47" s="12"/>
      <c r="G47" s="12"/>
      <c r="H47" s="12"/>
      <c r="I47" s="12"/>
      <c r="J47" s="12"/>
      <c r="K47" s="12"/>
    </row>
    <row r="48" spans="1:13" x14ac:dyDescent="0.25">
      <c r="B48" s="1"/>
      <c r="C48" s="1"/>
      <c r="D48" s="12"/>
      <c r="E48" s="12"/>
      <c r="F48" s="12"/>
      <c r="G48" s="12"/>
      <c r="H48" s="12"/>
      <c r="I48" s="12"/>
      <c r="J48" s="12"/>
      <c r="K48" s="12"/>
    </row>
  </sheetData>
  <dataConsolidate link="1">
    <dataRefs count="1">
      <dataRef ref="B6" sheet="Summary" r:id="rId1"/>
    </dataRefs>
  </dataConsolidate>
  <mergeCells count="2">
    <mergeCell ref="B37:L37"/>
    <mergeCell ref="B2:L2"/>
  </mergeCells>
  <pageMargins left="0.25" right="0.25" top="0.75" bottom="0.75" header="0.3" footer="0.3"/>
  <pageSetup scale="48" orientation="landscape" horizontalDpi="1200" verticalDpi="1200" r:id="rId2"/>
  <colBreaks count="1" manualBreakCount="1">
    <brk id="12" max="54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9473A4-C0BB-4CB5-8647-8ACAF51DFD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Zachry, Ryan B CIV USARMY CEPOA (USA)</cp:lastModifiedBy>
  <cp:lastPrinted>2023-04-24T21:14:40Z</cp:lastPrinted>
  <dcterms:created xsi:type="dcterms:W3CDTF">2019-11-26T01:11:12Z</dcterms:created>
  <dcterms:modified xsi:type="dcterms:W3CDTF">2025-06-03T17:47:50Z</dcterms:modified>
</cp:coreProperties>
</file>